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I:\Von\von Shea\"/>
    </mc:Choice>
  </mc:AlternateContent>
  <xr:revisionPtr revIDLastSave="0" documentId="8_{6CAC66A0-F3DF-428B-9851-29D761B28777}"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38620" windowHeight="212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<sst xmlns="http://schemas.openxmlformats.org/spreadsheetml/2006/main" count="22290" uniqueCount="15795">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</sst>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
      <c r="A13" s="305"/>
      <c r="B13" s="2">
        <v>1</v>
      </c>
      <c r="C13" s="27" t="s">
        <v>1084</v>
      </c>
      <c r="D13" s="28" t="s">
        <v>872</v>
      </c>
      <c r="E13" s="163" t="s">
        <v>849</v>
      </c>
      <c r="F13" s="163"/>
      <c r="G13" s="25"/>
    </row>
    <row r="14" spans="1:7" ht="30">
      <c r="A14" s="305"/>
      <c r="B14" s="2">
        <v>2</v>
      </c>
      <c r="C14" s="27" t="s">
        <v>1084</v>
      </c>
      <c r="D14" s="28" t="s">
        <v>1021</v>
      </c>
      <c r="E14" s="163" t="s">
        <v>530</v>
      </c>
      <c r="F14" s="163" t="s">
        <v>531</v>
      </c>
      <c r="G14" s="25"/>
    </row>
    <row r="15" spans="1:7" ht="89.15"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150000000000006"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5"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99999999999999" customHeight="1">
      <c r="A28" s="305"/>
      <c r="B28" s="294"/>
      <c r="C28" s="312"/>
      <c r="D28" s="315"/>
      <c r="E28" s="303"/>
      <c r="F28" s="165" t="s">
        <v>60</v>
      </c>
      <c r="G28" s="25"/>
    </row>
    <row r="29" spans="1:7" ht="74.5" customHeight="1">
      <c r="A29" s="305"/>
      <c r="B29" s="294"/>
      <c r="C29" s="312"/>
      <c r="D29" s="315"/>
      <c r="E29" s="303"/>
      <c r="F29" s="165" t="s">
        <v>61</v>
      </c>
      <c r="G29" s="25"/>
    </row>
    <row r="30" spans="1:7" ht="62.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 customHeight="1">
      <c r="A33" s="305"/>
      <c r="B33" s="294"/>
      <c r="C33" s="312"/>
      <c r="D33" s="315"/>
      <c r="E33" s="303"/>
      <c r="F33" s="165" t="s">
        <v>65</v>
      </c>
      <c r="G33" s="25"/>
    </row>
    <row r="34" spans="1:7" ht="89.15" customHeight="1">
      <c r="A34" s="305"/>
      <c r="B34" s="294"/>
      <c r="C34" s="312"/>
      <c r="D34" s="315"/>
      <c r="E34" s="303"/>
      <c r="F34" s="165" t="s">
        <v>67</v>
      </c>
      <c r="G34" s="25"/>
    </row>
    <row r="35" spans="1:7" ht="29.15" customHeight="1">
      <c r="A35" s="305"/>
      <c r="B35" s="294"/>
      <c r="C35" s="312"/>
      <c r="D35" s="315"/>
      <c r="E35" s="303"/>
      <c r="F35" s="165" t="s">
        <v>68</v>
      </c>
      <c r="G35" s="25"/>
    </row>
    <row r="36" spans="1:7" ht="111">
      <c r="A36" s="305"/>
      <c r="B36" s="295"/>
      <c r="C36" s="313"/>
      <c r="D36" s="316"/>
      <c r="E36" s="304"/>
      <c r="F36" s="166" t="s">
        <v>69</v>
      </c>
      <c r="G36" s="25"/>
    </row>
    <row r="37" spans="1:7" ht="100">
      <c r="A37" s="305"/>
      <c r="B37" s="141">
        <v>3.01</v>
      </c>
      <c r="C37" s="142" t="s">
        <v>70</v>
      </c>
      <c r="D37" s="28" t="s">
        <v>2251</v>
      </c>
      <c r="E37" s="167" t="s">
        <v>1323</v>
      </c>
      <c r="F37" s="168" t="s">
        <v>1427</v>
      </c>
      <c r="G37" s="25"/>
    </row>
    <row r="38" spans="1:7" ht="90">
      <c r="A38" s="305"/>
      <c r="B38" s="141">
        <v>3.02</v>
      </c>
      <c r="C38" s="142" t="s">
        <v>1356</v>
      </c>
      <c r="D38" s="28" t="s">
        <v>2252</v>
      </c>
      <c r="E38" s="167" t="s">
        <v>1371</v>
      </c>
      <c r="F38" s="168" t="s">
        <v>1428</v>
      </c>
      <c r="G38" s="25"/>
    </row>
    <row r="39" spans="1:7" ht="80">
      <c r="A39" s="305"/>
      <c r="B39" s="150">
        <v>4</v>
      </c>
      <c r="C39" s="149" t="s">
        <v>1524</v>
      </c>
      <c r="D39" s="28" t="s">
        <v>2253</v>
      </c>
      <c r="E39" s="27" t="s">
        <v>2198</v>
      </c>
      <c r="F39" s="27" t="s">
        <v>1525</v>
      </c>
      <c r="G39" s="25"/>
    </row>
    <row r="40" spans="1:7" ht="50">
      <c r="A40" s="305"/>
      <c r="B40" s="141">
        <v>4.01</v>
      </c>
      <c r="C40" s="149" t="s">
        <v>1524</v>
      </c>
      <c r="D40" s="28" t="s">
        <v>2255</v>
      </c>
      <c r="E40" s="27" t="s">
        <v>2210</v>
      </c>
      <c r="F40" s="27" t="s">
        <v>2214</v>
      </c>
      <c r="G40" s="25"/>
    </row>
    <row r="41" spans="1:7" ht="50">
      <c r="A41" s="305"/>
      <c r="B41" s="141" t="s">
        <v>2242</v>
      </c>
      <c r="C41" s="149" t="s">
        <v>1524</v>
      </c>
      <c r="D41" s="28" t="s">
        <v>2254</v>
      </c>
      <c r="E41" s="27" t="s">
        <v>2245</v>
      </c>
      <c r="F41" s="27" t="s">
        <v>2243</v>
      </c>
      <c r="G41" s="25"/>
    </row>
    <row r="42" spans="1:7" ht="50">
      <c r="A42" s="305"/>
      <c r="B42" s="141" t="s">
        <v>2276</v>
      </c>
      <c r="C42" s="149" t="s">
        <v>1524</v>
      </c>
      <c r="D42" s="28" t="s">
        <v>2281</v>
      </c>
      <c r="E42" s="27" t="s">
        <v>2244</v>
      </c>
      <c r="F42" s="27" t="s">
        <v>2277</v>
      </c>
      <c r="G42" s="25"/>
    </row>
    <row r="43" spans="1:7" ht="110">
      <c r="A43" s="305"/>
      <c r="B43" s="160">
        <v>4.0999999999999996</v>
      </c>
      <c r="C43" s="149" t="s">
        <v>2280</v>
      </c>
      <c r="D43" s="161">
        <v>42867</v>
      </c>
      <c r="E43" s="169" t="s">
        <v>2283</v>
      </c>
      <c r="F43" s="27" t="s">
        <v>2282</v>
      </c>
      <c r="G43" s="25"/>
    </row>
    <row r="44" spans="1:7" ht="70">
      <c r="A44" s="305"/>
      <c r="B44" s="160">
        <v>4.2</v>
      </c>
      <c r="C44" s="149" t="s">
        <v>2280</v>
      </c>
      <c r="D44" s="161">
        <v>42704</v>
      </c>
      <c r="E44" s="169" t="s">
        <v>2479</v>
      </c>
      <c r="F44" s="27" t="s">
        <v>2454</v>
      </c>
      <c r="G44" s="25"/>
    </row>
    <row r="45" spans="1:7" ht="130">
      <c r="A45" s="305"/>
      <c r="B45" s="202">
        <v>5</v>
      </c>
      <c r="C45" s="149" t="s">
        <v>2280</v>
      </c>
      <c r="D45" s="161">
        <v>42867</v>
      </c>
      <c r="E45" s="169" t="s">
        <v>12705</v>
      </c>
      <c r="F45" s="27" t="s">
        <v>12427</v>
      </c>
      <c r="G45" s="25"/>
    </row>
    <row r="46" spans="1:7" ht="30">
      <c r="A46" s="305"/>
      <c r="B46" s="160">
        <v>5.01</v>
      </c>
      <c r="C46" s="149" t="s">
        <v>2280</v>
      </c>
      <c r="D46" s="161">
        <v>42907</v>
      </c>
      <c r="E46" s="169" t="s">
        <v>15521</v>
      </c>
      <c r="F46" s="27" t="s">
        <v>12427</v>
      </c>
      <c r="G46" s="25"/>
    </row>
    <row r="47" spans="1:7" ht="60">
      <c r="A47" s="305"/>
      <c r="B47" s="160">
        <v>5.0999999999999996</v>
      </c>
      <c r="C47" s="149" t="s">
        <v>2280</v>
      </c>
      <c r="D47" s="161">
        <v>43070</v>
      </c>
      <c r="E47" s="169" t="s">
        <v>12915</v>
      </c>
      <c r="F47" s="27" t="s">
        <v>12916</v>
      </c>
      <c r="G47" s="25"/>
    </row>
    <row r="48" spans="1:7" ht="50">
      <c r="A48" s="305"/>
      <c r="B48" s="160">
        <v>5.1100000000000003</v>
      </c>
      <c r="C48" s="149" t="s">
        <v>13152</v>
      </c>
      <c r="D48" s="161">
        <v>43217</v>
      </c>
      <c r="E48" s="169" t="s">
        <v>13278</v>
      </c>
      <c r="F48" s="27" t="s">
        <v>13186</v>
      </c>
      <c r="G48" s="25"/>
    </row>
    <row r="49" spans="1:7" ht="50">
      <c r="A49" s="305"/>
      <c r="B49" s="160">
        <v>5.12</v>
      </c>
      <c r="C49" s="149" t="s">
        <v>13152</v>
      </c>
      <c r="D49" s="161">
        <v>43581</v>
      </c>
      <c r="E49" s="169" t="s">
        <v>13278</v>
      </c>
      <c r="F49" s="27" t="s">
        <v>13832</v>
      </c>
      <c r="G49" s="25"/>
    </row>
    <row r="50" spans="1:7" ht="70">
      <c r="A50" s="305"/>
      <c r="B50" s="202">
        <v>6</v>
      </c>
      <c r="C50" s="149" t="s">
        <v>13152</v>
      </c>
      <c r="D50" s="161">
        <v>43964</v>
      </c>
      <c r="E50" s="169" t="s">
        <v>14048</v>
      </c>
      <c r="F50" s="27" t="s">
        <v>13835</v>
      </c>
      <c r="G50" s="25"/>
    </row>
    <row r="51" spans="1:7" ht="40">
      <c r="A51" s="305"/>
      <c r="B51" s="160">
        <v>6.01</v>
      </c>
      <c r="C51" s="149" t="s">
        <v>13152</v>
      </c>
      <c r="D51" s="161">
        <v>43970</v>
      </c>
      <c r="E51" s="169" t="s">
        <v>15522</v>
      </c>
      <c r="F51" s="169" t="s">
        <v>13835</v>
      </c>
      <c r="G51" s="25"/>
    </row>
    <row r="52" spans="1:7" ht="40">
      <c r="A52" s="305"/>
      <c r="B52" s="160">
        <v>6.1</v>
      </c>
      <c r="C52" s="149" t="s">
        <v>13152</v>
      </c>
      <c r="D52" s="161">
        <v>44314</v>
      </c>
      <c r="E52" s="169" t="s">
        <v>15514</v>
      </c>
      <c r="F52" s="169" t="s">
        <v>15043</v>
      </c>
      <c r="G52" s="25"/>
    </row>
    <row r="53" spans="1:7" ht="40">
      <c r="A53" s="305"/>
      <c r="B53" s="160">
        <v>6.2</v>
      </c>
      <c r="C53" s="149" t="s">
        <v>13152</v>
      </c>
      <c r="D53" s="161">
        <v>44678</v>
      </c>
      <c r="E53" s="169" t="s">
        <v>15514</v>
      </c>
      <c r="F53" s="169" t="s">
        <v>15513</v>
      </c>
      <c r="G53" s="25"/>
    </row>
    <row r="54" spans="1:7" ht="40">
      <c r="A54" s="305"/>
      <c r="B54" s="160">
        <v>6.21</v>
      </c>
      <c r="C54" s="149" t="s">
        <v>13152</v>
      </c>
      <c r="D54" s="161">
        <v>44687</v>
      </c>
      <c r="E54" s="169" t="s">
        <v>15523</v>
      </c>
      <c r="F54" s="169" t="s">
        <v>15513</v>
      </c>
      <c r="G54" s="25"/>
    </row>
    <row r="55" spans="1:7" ht="40">
      <c r="A55" s="305"/>
      <c r="B55" s="160">
        <v>6.22</v>
      </c>
      <c r="C55" s="149" t="s">
        <v>13152</v>
      </c>
      <c r="D55" s="275">
        <v>44692</v>
      </c>
      <c r="E55" s="169" t="s">
        <v>15522</v>
      </c>
      <c r="F55" s="169" t="s">
        <v>15513</v>
      </c>
      <c r="G55" s="25"/>
    </row>
    <row r="56" spans="1:7" ht="50">
      <c r="A56" s="305"/>
      <c r="B56" s="202">
        <v>6.3</v>
      </c>
      <c r="C56" s="149" t="s">
        <v>13152</v>
      </c>
      <c r="D56" s="275">
        <v>45051</v>
      </c>
      <c r="E56" s="169" t="s">
        <v>15790</v>
      </c>
      <c r="F56" s="169" t="s">
        <v>15571</v>
      </c>
      <c r="G56" s="25"/>
    </row>
    <row r="57" spans="1:7" ht="40">
      <c r="A57" s="305"/>
      <c r="B57" s="160">
        <v>6.31</v>
      </c>
      <c r="C57" s="149" t="s">
        <v>13152</v>
      </c>
      <c r="D57" s="275">
        <v>45072</v>
      </c>
      <c r="E57" s="169" t="s">
        <v>15792</v>
      </c>
      <c r="F57" s="169" t="s">
        <v>15571</v>
      </c>
      <c r="G57" s="25"/>
    </row>
    <row r="58" spans="1:7" ht="14" thickBot="1">
      <c r="A58" s="306"/>
      <c r="B58" s="307" t="str">
        <f ca="1">OFFSET(L!$C$1,MATCH("General"&amp;"Cpy",L!$A:$A,0)-1,SL,,)</f>
        <v>© 2023 Responsible Minerals Initiative. All rights reserved.</v>
      </c>
      <c r="C58" s="307"/>
      <c r="D58" s="307"/>
      <c r="E58" s="307"/>
      <c r="F58" s="307"/>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6DD7A74-2B28-4DC4-94F0-65566B13E73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F0984B2-7265-4E8C-A0CC-FC637EA6F0B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936A0F4-1D22-4A44-A8EE-5398C9D4DCE4}"/>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f ca="1">IF(H70=0,"0",H70)</f>
        <v>52</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1302</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1302</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f>Declaration!D15</f>
        <v>0</v>
      </c>
      <c r="C7" s="89" t="str">
        <f ca="1">IF(H7=1,J7,I7)</f>
        <v>Provide contact name in Declaration tab cell D15</v>
      </c>
      <c r="D7" s="95" t="str">
        <f>IF(H7=1,"Click here to enter Contact Name","")</f>
        <v>Click here to enter Contact Name</v>
      </c>
      <c r="E7" s="20" t="s">
        <v>1302</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1302</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1302</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1302</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1302</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1302</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f>Declaration!D26</f>
        <v>0</v>
      </c>
      <c r="C14" s="89" t="str">
        <f ca="1">IF(H14=1,J14,I14)</f>
        <v>Declare if Tantalum is intentionally added to your products on Declaration tab cell D26</v>
      </c>
      <c r="D14" s="95" t="str">
        <f>IF(H14=1,"Click here to answer question 1 for Tantalum","")</f>
        <v>Click here to answer question 1 for Tantalum</v>
      </c>
      <c r="E14" s="20" t="s">
        <v>802</v>
      </c>
      <c r="F14" s="93">
        <v>1</v>
      </c>
      <c r="G14" s="70">
        <f>IF(B14=0,1,0)</f>
        <v>1</v>
      </c>
      <c r="H14" s="71">
        <f t="shared" si="3"/>
        <v>1</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f>Declaration!D27</f>
        <v>0</v>
      </c>
      <c r="C15" s="89" t="str">
        <f ca="1">IF(H15=1,J15,I15)</f>
        <v>Declare if Tin is intentionally added to your products on Declaration tab cell D27</v>
      </c>
      <c r="D15" s="95" t="str">
        <f>IF(H15=1,"Click here to answer question 1 for Tin","")</f>
        <v>Click here to answer question 1 for Tin</v>
      </c>
      <c r="E15" s="20" t="s">
        <v>803</v>
      </c>
      <c r="F15" s="93">
        <v>1</v>
      </c>
      <c r="G15" s="70">
        <f>IF(B15=0,1,0)</f>
        <v>1</v>
      </c>
      <c r="H15" s="71">
        <f t="shared" si="3"/>
        <v>1</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f>Declaration!D28</f>
        <v>0</v>
      </c>
      <c r="C16" s="89" t="str">
        <f ca="1">IF(H16=1,J16,I16)</f>
        <v>Declare if Gold is intentionally added to your products on Declaration tab cell D28</v>
      </c>
      <c r="D16" s="95" t="str">
        <f>IF(H16=1,"Click here to answer question 1 for Gold","")</f>
        <v>Click here to answer question 1 for Gold</v>
      </c>
      <c r="E16" s="20" t="s">
        <v>803</v>
      </c>
      <c r="F16" s="93">
        <v>1</v>
      </c>
      <c r="G16" s="70">
        <f>IF(B16=0,1,0)</f>
        <v>1</v>
      </c>
      <c r="H16" s="71">
        <f t="shared" si="3"/>
        <v>1</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f>Declaration!D29</f>
        <v>0</v>
      </c>
      <c r="C17" s="89" t="str">
        <f ca="1">IF(H17=1,J17,I17)</f>
        <v>Declare if Tungsten is intentionally added to your products on Declaration tab cell D29</v>
      </c>
      <c r="D17" s="95" t="str">
        <f>IF(H17=1,"Click here to answer question 1 for Tungsten","")</f>
        <v>Click here to answer question 1 for Tungsten</v>
      </c>
      <c r="E17" s="20" t="s">
        <v>803</v>
      </c>
      <c r="F17" s="93">
        <v>1</v>
      </c>
      <c r="G17" s="70">
        <f>IF(B17=0,1,0)</f>
        <v>1</v>
      </c>
      <c r="H17" s="71">
        <f t="shared" si="3"/>
        <v>1</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f>IF($B$14="Yes",Declaration!D32,0)</f>
        <v>0</v>
      </c>
      <c r="C19" s="89" t="str">
        <f ca="1">IF(H19=1,J19,I19)</f>
        <v>Declare if Tantalum is necessary to the production of your products and contained within the finished products declared in Declaration tab cell D32</v>
      </c>
      <c r="D19" s="97" t="str">
        <f>IF(H19=1,"Click here to answer question 2 for Tantalum","")</f>
        <v>Click here to answer question 2 for Tantalum</v>
      </c>
      <c r="E19" s="20" t="s">
        <v>803</v>
      </c>
      <c r="F19" s="94">
        <f>IF(B$14="No",0,1)</f>
        <v>1</v>
      </c>
      <c r="G19" s="70">
        <f>IF(B19=0,1,0)</f>
        <v>1</v>
      </c>
      <c r="H19" s="71">
        <f>F19*G19</f>
        <v>1</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f>IF($B$15="Yes",Declaration!D33,0)</f>
        <v>0</v>
      </c>
      <c r="C20" s="89" t="str">
        <f ca="1">IF(H20=1,J20,I20)</f>
        <v>Declare if Tin is necessary to the production of your products and contained within the finished products declared in Declaration tab cell D33</v>
      </c>
      <c r="D20" s="97" t="str">
        <f>IF(H20=1,"Click here to answer question 2 for Tin","")</f>
        <v>Click here to answer question 2 for Tin</v>
      </c>
      <c r="E20" s="20" t="s">
        <v>803</v>
      </c>
      <c r="F20" s="94">
        <f>IF(B$15="No",0,1)</f>
        <v>1</v>
      </c>
      <c r="G20" s="70">
        <f>IF(B20=0,1,0)</f>
        <v>1</v>
      </c>
      <c r="H20" s="71">
        <f>F20*G20</f>
        <v>1</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f>IF($B$16="Yes",Declaration!D34,0)</f>
        <v>0</v>
      </c>
      <c r="C21" s="89" t="str">
        <f ca="1">IF(H21=1,J21,I21)</f>
        <v>Declare if Gold is necessary to the production of your products and contained within the finished products declared in Declaration tab cell D34</v>
      </c>
      <c r="D21" s="97" t="str">
        <f>IF(H21=1,"Click here to answer question 2 for Gold","")</f>
        <v>Click here to answer question 2 for Gold</v>
      </c>
      <c r="E21" s="20" t="s">
        <v>803</v>
      </c>
      <c r="F21" s="94">
        <f>IF(B$16="No",0,1)</f>
        <v>1</v>
      </c>
      <c r="G21" s="70">
        <f>IF(B21=0,1,0)</f>
        <v>1</v>
      </c>
      <c r="H21" s="71">
        <f>F21*G21</f>
        <v>1</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f>IF($B$17="Yes",Declaration!D35,0)</f>
        <v>0</v>
      </c>
      <c r="C22" s="89" t="str">
        <f ca="1">IF(H22=1,J22,I22)</f>
        <v>Declare if Tungsten is necessary to the production of your products and contained within the finished products declared in Declaration tab cell D35</v>
      </c>
      <c r="D22" s="97" t="str">
        <f>IF(H22=1,"Click here to answer question 2 for Tungsten","")</f>
        <v>Click here to answer question 2 for Tungsten</v>
      </c>
      <c r="E22" s="20" t="s">
        <v>803</v>
      </c>
      <c r="F22" s="94">
        <f>IF(B$17="No",0,1)</f>
        <v>1</v>
      </c>
      <c r="G22" s="70">
        <f>IF(B22=0,1,0)</f>
        <v>1</v>
      </c>
      <c r="H22" s="71">
        <f>F22*G22</f>
        <v>1</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f>IF(AND($B$14="Yes",$B$19="Yes"),Declaration!D38,0)</f>
        <v>0</v>
      </c>
      <c r="C24" s="89" t="str">
        <f ca="1">IF(H24=1,J24,I24)</f>
        <v>Declare if Tantalum used within the scope of products declared within this survey response originated from the DRC or an adjoining Country on the Declaration tab cell D38</v>
      </c>
      <c r="D24" s="97" t="str">
        <f>IF(H24=1,"Click here to answer question 3 for Tantalum","")</f>
        <v>Click here to answer question 3 for Tantalum</v>
      </c>
      <c r="E24" s="20" t="s">
        <v>803</v>
      </c>
      <c r="F24" s="94">
        <f>IF(OR(B14="No",B19="No"),0,1)</f>
        <v>1</v>
      </c>
      <c r="G24" s="70">
        <f t="shared" ref="G24" si="6">IF(B24=0,1,0)</f>
        <v>1</v>
      </c>
      <c r="H24" s="71">
        <f t="shared" ref="H24" si="7">F24*G24</f>
        <v>1</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f>IF(AND($B$15="Yes",$B$20="Yes"),Declaration!D39,0)</f>
        <v>0</v>
      </c>
      <c r="C25" s="89" t="str">
        <f ca="1">IF(H25=1,J25,I25)</f>
        <v>Declare if Tin used within the scope of products declared within this survey response originated from the DRC or an adjoining Country on the Declaration tab cell D39</v>
      </c>
      <c r="D25" s="97" t="str">
        <f>IF(H25=1,"Click here to answer question 3 for Tin","")</f>
        <v>Click here to answer question 3 for Tin</v>
      </c>
      <c r="E25" s="20" t="s">
        <v>803</v>
      </c>
      <c r="F25" s="94">
        <f>IF(OR(B15="No",B20="No"),0,1)</f>
        <v>1</v>
      </c>
      <c r="G25" s="70">
        <f>IF(B25=0,1,0)</f>
        <v>1</v>
      </c>
      <c r="H25" s="71">
        <f>F25*G25</f>
        <v>1</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803</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803</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f>IF(AND($B$14="Yes",$B$19="Yes"),Declaration!D44,0)</f>
        <v>0</v>
      </c>
      <c r="C29" s="89" t="str">
        <f ca="1">IF(H29=1,J29,I29)</f>
        <v>Declare if Tantalum used within the scope of products declared within this survey response originated from a conflict-affected and high-risk area on the Declaration tab cell D44</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f>IF(AND($B$15="Yes",$B$20="Yes"),Declaration!D45,0)</f>
        <v>0</v>
      </c>
      <c r="C30" s="89" t="str">
        <f ca="1">IF(H30=1,J30,I30)</f>
        <v>Declare if Tin used within the scope of products declared within this survey response originated from a conflict-affected and high-risk area on the Declaration tab cell D45</v>
      </c>
      <c r="D30" s="260" t="str">
        <f>IF(H30=1,"Click here to answer question 4 for Tin","")</f>
        <v>Click here to answer question 4 for Tin</v>
      </c>
      <c r="E30" s="20"/>
      <c r="F30" s="94">
        <f>F25</f>
        <v>1</v>
      </c>
      <c r="G30" s="70">
        <f>IF(B30=0,1,0)</f>
        <v>1</v>
      </c>
      <c r="H30" s="71">
        <f>F30*G30</f>
        <v>1</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f>IF(AND($B$16="Yes",$B$21="Yes"),Declaration!D46,0)</f>
        <v>0</v>
      </c>
      <c r="C31" s="89" t="str">
        <f ca="1">IF(H31=1,J31,I31)</f>
        <v>Declare if Gold used within the scope of products declared within this survey response originated from a conflict-affected and high-risk area on the Declaration tab cell D46</v>
      </c>
      <c r="D31" s="260" t="str">
        <f>IF(H31=1,"Click here to answer question 4 for Gold","")</f>
        <v>Click here to answer question 4 for Gold</v>
      </c>
      <c r="E31" s="20"/>
      <c r="F31" s="94">
        <f>F26</f>
        <v>1</v>
      </c>
      <c r="G31" s="70">
        <f>IF(B31=0,1,0)</f>
        <v>1</v>
      </c>
      <c r="H31" s="71">
        <f>F31*G31</f>
        <v>1</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f>IF(AND($B$17="Yes",$B$22="Yes"),Declaration!D47,0)</f>
        <v>0</v>
      </c>
      <c r="C32" s="89" t="str">
        <f ca="1">IF(H32=1,J32,I32)</f>
        <v>Declare if Tungsten used within the scope of products declared within this survey response originated from a conflict-affected and high-risk area on the Declaration tab cell D47</v>
      </c>
      <c r="D32" s="260" t="str">
        <f>IF(H32=1,"Click here to answer question 4 for Tungsten","")</f>
        <v>Click here to answer question 4 for Tungsten</v>
      </c>
      <c r="E32" s="20"/>
      <c r="F32" s="94">
        <f>F27</f>
        <v>1</v>
      </c>
      <c r="G32" s="70">
        <f>IF(B32=0,1,0)</f>
        <v>1</v>
      </c>
      <c r="H32" s="71">
        <f>F32*G32</f>
        <v>1</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f>IF(AND($B$14="Yes",$B$19="Yes"),Declaration!D50,0)</f>
        <v>0</v>
      </c>
      <c r="C34" s="89" t="str">
        <f ca="1">IF(H34=1,J34,I34)</f>
        <v>Declare if Tantalum used within the scope of products declared within this survey response originated entirely from a recycled or scrap source on the Declaration tab cell D44</v>
      </c>
      <c r="D34" s="260" t="str">
        <f>IF(H34=1,"Click here to answer question 5 for Tantalum","")</f>
        <v>Click here to answer question 5 for Tantalum</v>
      </c>
      <c r="E34" s="20" t="s">
        <v>1302</v>
      </c>
      <c r="F34" s="94">
        <f>F24</f>
        <v>1</v>
      </c>
      <c r="G34" s="70">
        <f>IF(B34=0,1,0)</f>
        <v>1</v>
      </c>
      <c r="H34" s="71">
        <f>F34*G34</f>
        <v>1</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f>IF(AND($B$15="Yes",$B$20="Yes"),Declaration!D51,0)</f>
        <v>0</v>
      </c>
      <c r="C35" s="89" t="str">
        <f ca="1">IF(H35=1,J35,I35)</f>
        <v>Declare if Tin used within the scope of products declared within this survey response originated entirely from a recycled or scrap source on the Declaration tab cell D45</v>
      </c>
      <c r="D35" s="260" t="str">
        <f>IF(H35=1,"Click here to answer question 5 for Tin","")</f>
        <v>Click here to answer question 5 for Tin</v>
      </c>
      <c r="E35" s="20" t="s">
        <v>1302</v>
      </c>
      <c r="F35" s="94">
        <f>F25</f>
        <v>1</v>
      </c>
      <c r="G35" s="70">
        <f>IF(B35=0,1,0)</f>
        <v>1</v>
      </c>
      <c r="H35" s="71">
        <f>F35*G35</f>
        <v>1</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f>IF(AND($B$16="Yes",$B$21="Yes"),Declaration!D52,0)</f>
        <v>0</v>
      </c>
      <c r="C36" s="89" t="str">
        <f ca="1">IF(H36=1,J36,I36)</f>
        <v>Declare if Gold used within the scope of products declared within this survey response originated entirely from a recycled or scrap source on the Declaration tab cell D46</v>
      </c>
      <c r="D36" s="260" t="str">
        <f>IF(H36=1,"Click here to answer question 5 for Gold","")</f>
        <v>Click here to answer question 5 for Gold</v>
      </c>
      <c r="E36" s="20" t="s">
        <v>1302</v>
      </c>
      <c r="F36" s="94">
        <f>F26</f>
        <v>1</v>
      </c>
      <c r="G36" s="70">
        <f>IF(B36=0,1,0)</f>
        <v>1</v>
      </c>
      <c r="H36" s="71">
        <f>F36*G36</f>
        <v>1</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f>IF(AND($B$17="Yes",$B$22="Yes"),Declaration!D53,0)</f>
        <v>0</v>
      </c>
      <c r="C37" s="89" t="str">
        <f ca="1">IF(H37=1,J37,I37)</f>
        <v>Declare if Tungsten used within the scope of products declared within this survey response originated entirely from a recycled or scrap source on the Declaration tab cell D47</v>
      </c>
      <c r="D37" s="260" t="str">
        <f>IF(H37=1,"Click here to answer question 5 for Tungsten","")</f>
        <v>Click here to answer question 5 for Tungsten</v>
      </c>
      <c r="E37" s="20" t="s">
        <v>1302</v>
      </c>
      <c r="F37" s="94">
        <f>F27</f>
        <v>1</v>
      </c>
      <c r="G37" s="70">
        <f>IF(B37=0,1,0)</f>
        <v>1</v>
      </c>
      <c r="H37" s="71">
        <f>F37*G37</f>
        <v>1</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f>IF(AND($B$14="Yes",$B$19="Yes"),Declaration!D56,0)</f>
        <v>0</v>
      </c>
      <c r="C39" s="89" t="str">
        <f ca="1">IF(H39=1,J39,I39)</f>
        <v>Provide % of completeness of supplier's smelter information on Declaration tab cell D50</v>
      </c>
      <c r="D39" s="261" t="str">
        <f>IF(H39=1,"Click here to answer question 6 for Tantalum","")</f>
        <v>Click here to answer question 6 for Tantalum</v>
      </c>
      <c r="E39" s="20" t="s">
        <v>802</v>
      </c>
      <c r="F39" s="94">
        <f>F24</f>
        <v>1</v>
      </c>
      <c r="G39" s="70">
        <f>IF(B39=0,1,0)</f>
        <v>1</v>
      </c>
      <c r="H39" s="71">
        <f>F39*G39</f>
        <v>1</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0</v>
      </c>
      <c r="C40" s="89" t="str">
        <f ca="1">IF(H40=1,J40,I40)</f>
        <v>Provide % of completeness of supplier's smelter information on Declaration tab cell D51</v>
      </c>
      <c r="D40" s="261" t="str">
        <f>IF(H40=1,"Click here to answer question 6 for Tin","")</f>
        <v>Click here to answer question 6 for Tin</v>
      </c>
      <c r="E40" s="20" t="s">
        <v>802</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0</v>
      </c>
      <c r="C41" s="89" t="str">
        <f ca="1">IF(H41=1,J41,I41)</f>
        <v>Provide % of completeness of supplier's smelter information on Declaration tab cell D52</v>
      </c>
      <c r="D41" s="261" t="str">
        <f>IF(H41=1,"Click here to answer question 6 for Gold","")</f>
        <v>Click here to answer question 6 for Gold</v>
      </c>
      <c r="E41" s="20" t="s">
        <v>802</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f>IF(AND($B$17="Yes",$B$22="Yes"),Declaration!D59,0)</f>
        <v>0</v>
      </c>
      <c r="C42" s="89" t="str">
        <f ca="1">IF(H42=1,J42,I42)</f>
        <v>Provide % of completeness of supplier's smelter information on Declaration tab cell D53</v>
      </c>
      <c r="D42" s="261" t="str">
        <f>IF(H42=1,"Click here to answer question 6 for Tungsten","")</f>
        <v>Click here to answer question 6 for Tungsten</v>
      </c>
      <c r="E42" s="20" t="s">
        <v>802</v>
      </c>
      <c r="F42" s="94">
        <f>F27</f>
        <v>1</v>
      </c>
      <c r="G42" s="70">
        <f>IF(B42=0,1,0)</f>
        <v>1</v>
      </c>
      <c r="H42" s="71">
        <f>F42*G42</f>
        <v>1</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f>IF(AND($B$14="Yes",$B$19="Yes"),Declaration!D62,0)</f>
        <v>0</v>
      </c>
      <c r="C44" s="89" t="str">
        <f ca="1">IF(H44=1,J44,I44)</f>
        <v>Declare if all smelter names have been provided in this survey response under the scope of products declared on the Declaration tab cell D56</v>
      </c>
      <c r="D44" s="260" t="str">
        <f>IF(H44=1,"Click here to answer question 7 for Tantalum","")</f>
        <v>Click here to answer question 7 for Tantalum</v>
      </c>
      <c r="E44" s="20" t="s">
        <v>1298</v>
      </c>
      <c r="F44" s="94">
        <f>F24</f>
        <v>1</v>
      </c>
      <c r="G44" s="70">
        <f>IF(B44=0,1,0)</f>
        <v>1</v>
      </c>
      <c r="H44" s="71">
        <f>F44*G44</f>
        <v>1</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0" t="str">
        <f>IF(H45=1,"Click here to answer question 7 for Tin","")</f>
        <v>Click here to answer question 7 for Tin</v>
      </c>
      <c r="E45" s="20" t="s">
        <v>1298</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0" t="str">
        <f>IF(H46=1,"Click here to answer question 7 for Gold","")</f>
        <v>Click here to answer question 7 for Gold</v>
      </c>
      <c r="E46" s="20" t="s">
        <v>1298</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f>IF(AND($B$17="Yes",$B$22="Yes"),Declaration!D65,0)</f>
        <v>0</v>
      </c>
      <c r="C47" s="89" t="str">
        <f ca="1">IF(H47=1,J47,I47)</f>
        <v>Declare if all smelter names have been provided in this survey response which the scope of products declared on the Declaration tab cell D59</v>
      </c>
      <c r="D47" s="260" t="str">
        <f>IF(H47=1,"Click here to answer question 7 for Tungsten","")</f>
        <v>Click here to answer question 7 for Tungsten</v>
      </c>
      <c r="E47" s="20" t="s">
        <v>1298</v>
      </c>
      <c r="F47" s="94">
        <f>F27</f>
        <v>1</v>
      </c>
      <c r="G47" s="70">
        <f>IF(B47=0,1,0)</f>
        <v>1</v>
      </c>
      <c r="H47" s="71">
        <f>F47*G47</f>
        <v>1</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f>IF(AND($B$14="Yes",$B$19="Yes"),Declaration!D68,0)</f>
        <v>0</v>
      </c>
      <c r="C49" s="89" t="str">
        <f ca="1">IF(H49=1,J49,I49)</f>
        <v>Declare if all applicable Tantalum smelter information has been provided on Declaration tab cell D62</v>
      </c>
      <c r="D49" s="261" t="str">
        <f>IF(H49=1,"Click here to answer question 8 for Tantalum","")</f>
        <v>Click here to answer question 8 for Tantalum</v>
      </c>
      <c r="E49" s="20" t="s">
        <v>803</v>
      </c>
      <c r="F49" s="94">
        <f>F24</f>
        <v>1</v>
      </c>
      <c r="G49" s="70">
        <f>IF(B49=0,1,0)</f>
        <v>1</v>
      </c>
      <c r="H49" s="71">
        <f>F49*G49</f>
        <v>1</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f>IF(AND($B$15="Yes",$B$20="Yes"),Declaration!D69,0)</f>
        <v>0</v>
      </c>
      <c r="C50" s="89" t="str">
        <f ca="1">IF(H50=1,J50,I50)</f>
        <v>Declare if all applicable Tin smelter information has been provided on Declaration tab cell D63</v>
      </c>
      <c r="D50" s="261" t="str">
        <f>IF(H50=1,"Click here to answer question 8 for Tin","")</f>
        <v>Click here to answer question 8 for Tin</v>
      </c>
      <c r="E50" s="20" t="s">
        <v>803</v>
      </c>
      <c r="F50" s="94">
        <f>F25</f>
        <v>1</v>
      </c>
      <c r="G50" s="70">
        <f>IF(B50=0,1,0)</f>
        <v>1</v>
      </c>
      <c r="H50" s="71">
        <f>F50*G50</f>
        <v>1</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f>IF(AND($B$16="Yes",$B$21="Yes"),Declaration!D70,0)</f>
        <v>0</v>
      </c>
      <c r="C51" s="89" t="str">
        <f ca="1">IF(H51=1,J51,I51)</f>
        <v>Declare if all applicable Gold smelter information has been provided on Declaration tab cell D64</v>
      </c>
      <c r="D51" s="261" t="str">
        <f>IF(H51=1,"Click here to answer question 8 for Gold","")</f>
        <v>Click here to answer question 8 for Gold</v>
      </c>
      <c r="E51" s="20" t="s">
        <v>803</v>
      </c>
      <c r="F51" s="94">
        <f>F26</f>
        <v>1</v>
      </c>
      <c r="G51" s="70">
        <f>IF(B51=0,1,0)</f>
        <v>1</v>
      </c>
      <c r="H51" s="71">
        <f>F51*G51</f>
        <v>1</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f>IF(AND($B$17="Yes",$B$22="Yes"),Declaration!D71,0)</f>
        <v>0</v>
      </c>
      <c r="C52" s="89" t="str">
        <f ca="1">IF(H52=1,J52,I52)</f>
        <v>Declare if all applicable Tungsten smelter information has been provided on Declaration tab cell D65</v>
      </c>
      <c r="D52" s="261" t="str">
        <f>IF(H52=1,"Click here to answer question 8 for Tungsten","")</f>
        <v>Click here to answer question 8 for Tungsten</v>
      </c>
      <c r="E52" s="20" t="s">
        <v>803</v>
      </c>
      <c r="F52" s="94">
        <f>F27</f>
        <v>1</v>
      </c>
      <c r="G52" s="70">
        <f>IF(B52=0,1,0)</f>
        <v>1</v>
      </c>
      <c r="H52" s="71">
        <f>F52*G52</f>
        <v>1</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1302</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1302</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1302</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1302</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1302</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1302</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1302</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1302</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Provide list of tantalum smelters contributing material to supply chain on Smelter List tab</v>
      </c>
      <c r="D65" s="95" t="str">
        <f>IF(H65=0,"","Click here to provide smelter information")</f>
        <v>Click here to provide smelter information</v>
      </c>
      <c r="E65" s="20" t="s">
        <v>1302</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1</v>
      </c>
      <c r="L65" s="19" t="e">
        <f ca="1">OFFSET(L!$C$1,MATCH("Checker"&amp;ADDRESS(ROW(),COLUMN(),4),L!$A:$A,0)-1,SL,,)</f>
        <v>#N/A</v>
      </c>
    </row>
    <row r="66" spans="1:12" ht="41">
      <c r="A66" s="89" t="s">
        <v>1851</v>
      </c>
      <c r="B66" s="89"/>
      <c r="C66" s="89" t="str">
        <f t="shared" ca="1" si="13"/>
        <v>Provide list of tin smelters contributing material to supply chain on Smelter List tab</v>
      </c>
      <c r="D66" s="95" t="str">
        <f>IF(H66=0,"","Click here to provide smelter information")</f>
        <v>Click here to provide smelter information</v>
      </c>
      <c r="E66" s="20" t="s">
        <v>803</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1</v>
      </c>
      <c r="L66" s="19" t="e">
        <f ca="1">OFFSET(L!$C$1,MATCH("Checker"&amp;ADDRESS(ROW(),COLUMN(),4),L!$A:$A,0)-1,SL,,)</f>
        <v>#N/A</v>
      </c>
    </row>
    <row r="67" spans="1:12" ht="41">
      <c r="A67" s="89" t="s">
        <v>1852</v>
      </c>
      <c r="B67" s="89"/>
      <c r="C67" s="89" t="str">
        <f t="shared" ca="1" si="13"/>
        <v>Provide list of gold smelters contributing material to supply chain on Smelter List tab</v>
      </c>
      <c r="D67" s="95" t="str">
        <f>IF(H67=0,"","Click here to provide smelter information")</f>
        <v>Click here to provide smelter information</v>
      </c>
      <c r="E67" s="20" t="s">
        <v>803</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1</v>
      </c>
      <c r="L67" s="19" t="e">
        <f ca="1">OFFSET(L!$C$1,MATCH("Checker"&amp;ADDRESS(ROW(),COLUMN(),4),L!$A:$A,0)-1,SL,,)</f>
        <v>#N/A</v>
      </c>
    </row>
    <row r="68" spans="1:12" ht="41">
      <c r="A68" s="89" t="s">
        <v>1853</v>
      </c>
      <c r="B68" s="89"/>
      <c r="C68" s="89" t="str">
        <f t="shared" ca="1" si="13"/>
        <v>Provide list of tungsten smelters contributing material to supply chain on Smelter List tab</v>
      </c>
      <c r="D68" s="95" t="str">
        <f>IF(H68=0,"","Click here to provide smelter information")</f>
        <v>Click here to provide smelter information</v>
      </c>
      <c r="E68" s="20" t="s">
        <v>803</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1</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52</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Jahn Carmen</cp:lastModifiedBy>
  <cp:lastPrinted>2015-04-21T20:47:43Z</cp:lastPrinted>
  <dcterms:created xsi:type="dcterms:W3CDTF">2010-06-21T21:00:23Z</dcterms:created>
  <dcterms:modified xsi:type="dcterms:W3CDTF">2024-03-11T10:22:29Z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